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134A8779-C8AB-4E38-9FE8-C590E066C777}" xr6:coauthVersionLast="47" xr6:coauthVersionMax="47" xr10:uidLastSave="{00000000-0000-0000-0000-000000000000}"/>
  <bookViews>
    <workbookView xWindow="1155" yWindow="135"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2" i="5"/>
  <c r="AE31" i="5"/>
  <c r="AE64" i="5"/>
  <c r="AE84" i="5"/>
  <c r="BD47" i="5"/>
  <c r="BD49" i="5"/>
  <c r="AE41" i="5"/>
  <c r="AE28" i="5"/>
  <c r="H32" i="5"/>
  <c r="AE36" i="5"/>
  <c r="D32" i="5"/>
  <c r="E32" i="5"/>
  <c r="AE34" i="5"/>
  <c r="AE53" i="5"/>
  <c r="B44" i="22"/>
  <c r="AE78" i="5"/>
  <c r="AE33" i="5"/>
  <c r="BD36" i="5"/>
  <c r="AE47" i="5"/>
  <c r="AE83" i="5"/>
  <c r="BD27" i="5"/>
  <c r="BD55" i="5"/>
  <c r="BD48" i="5" l="1"/>
  <c r="BD53" i="5"/>
  <c r="BD29"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F30" i="15"/>
  <c r="F33" i="15"/>
  <c r="D24" i="15"/>
  <c r="N27" i="15" l="1"/>
  <c r="AE27" i="15"/>
  <c r="AE24" i="15" s="1"/>
  <c r="Z27" i="15"/>
  <c r="Z24" i="15" s="1"/>
  <c r="F31" i="15"/>
  <c r="R27" i="15"/>
  <c r="R24" i="15" s="1"/>
  <c r="F29" i="15"/>
  <c r="E31" i="15"/>
  <c r="E29" i="15"/>
  <c r="V27" i="15"/>
  <c r="V24" i="15" s="1"/>
  <c r="AC28" i="15"/>
  <c r="E33" i="15"/>
  <c r="AC33" i="15"/>
  <c r="N24" i="15"/>
  <c r="E30" i="15"/>
  <c r="AC30" i="15"/>
  <c r="F27" i="15" l="1"/>
  <c r="F24" i="15"/>
  <c r="AC29" i="15"/>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<sst xmlns="http://schemas.openxmlformats.org/spreadsheetml/2006/main" count="4475" uniqueCount="582">
  <si>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</si>
  <si>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</si>
  <si>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</si>
  <si>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</si>
  <si>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</si>
  <si>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</si>
  <si>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</si>
  <si>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</si>
  <si>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</si>
  <si>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</si>
  <si>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</si>
  <si>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</si>
  <si>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</si>
  <si>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</si>
  <si>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</si>
  <si>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</si>
  <si>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</si>
  <si>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</si>
  <si>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</si>
  <si>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</si>
  <si>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</si>
  <si>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</si>
  <si>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</si>
  <si>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</si>
  <si>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</si>
  <si>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</si>
  <si>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</si>
  <si>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</si>
  <si>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</si>
  <si>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</si>
  <si>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</si>
  <si>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</si>
  <si>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</si>
  <si>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</si>
  <si>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</si>
  <si>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</si>
  <si>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</si>
  <si>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</si>
  <si>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</si>
  <si>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</si>
  <si>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</si>
  <si>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</si>
  <si>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</si>
  <si>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</si>
  <si>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</si>
  <si>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</si>
  <si>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</si>
  <si>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</si>
  <si>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</si>
  <si>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</si>
  <si>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</si>
  <si>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</si>
  <si>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</si>
  <si>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</si>
  <si>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</si>
  <si>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</si>
  <si>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</si>
  <si>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</si>
  <si>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</si>
  <si>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</si>
  <si>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</si>
  <si>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</si>
  <si>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</si>
  <si>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</si>
  <si>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</si>
  <si>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</si>
  <si>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</si>
  <si>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</si>
  <si>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</si>
  <si>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</si>
  <si>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</si>
  <si>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</si>
  <si>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</si>
  <si>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</si>
  <si>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</si>
  <si>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</si>
  <si>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</si>
  <si>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</si>
  <si>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</si>
  <si>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</si>
  <si>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</si>
  <si>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</si>
  <si>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</si>
  <si>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</si>
  <si>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</si>
  <si>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</si>
  <si>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</si>
  <si>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</si>
  <si>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</si>
  <si>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</si>
  <si>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</si>
  <si>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</si>
  <si>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</si>
  <si>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</si>
  <si>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</si>
  <si>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</si>
  <si>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</si>
  <si>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</si>
  <si>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</si>
  <si>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</si>
  <si>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</si>
  <si>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</si>
  <si>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</si>
  <si>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</si>
  <si>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</si>
  <si>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</si>
  <si>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</si>
  <si>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</si>
  <si>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</si>
  <si>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</si>
  <si>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</si>
  <si>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</si>
  <si>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</si>
  <si>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</si>
  <si>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</si>
  <si>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</si>
  <si>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</si>
  <si>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</si>
  <si>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</si>
  <si>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</si>
  <si>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</si>
  <si>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</si>
  <si>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</si>
  <si>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</si>
  <si>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</si>
  <si>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</si>
  <si>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</si>
  <si>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</si>
  <si>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</si>
  <si>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</si>
  <si>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</si>
  <si>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</si>
  <si>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</si>
  <si>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</si>
  <si>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</si>
  <si>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</si>
  <si>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</si>
  <si>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</si>
  <si>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</si>
  <si>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</si>
  <si>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</si>
  <si>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</si>
  <si>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</si>
  <si>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</si>
  <si>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</si>
  <si>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</si>
  <si>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</si>
  <si>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</si>
  <si>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</si>
  <si>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</si>
  <si>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</si>
  <si>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</si>
  <si>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</si>
  <si>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</si>
  <si>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</si>
  <si>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</si>
  <si>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</si>
  <si>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</si>
  <si>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</si>
  <si>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</si>
  <si>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</si>
  <si>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</si>
  <si>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</si>
  <si>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</si>
  <si>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</si>
  <si>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</si>
  <si>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</si>
  <si>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</si>
  <si>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</si>
  <si>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</si>
  <si>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</si>
  <si>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</si>
  <si>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</si>
  <si>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</si>
  <si>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</si>
  <si>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</si>
  <si>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</si>
  <si>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</si>
  <si>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</si>
  <si>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</si>
  <si>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</si>
  <si>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</si>
  <si>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</si>
  <si>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</si>
  <si>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</si>
  <si>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</si>
  <si>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</si>
  <si>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</si>
  <si>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</si>
  <si>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</si>
  <si>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</si>
  <si>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</si>
  <si>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</si>
  <si>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</si>
  <si>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</si>
  <si>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</si>
  <si>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</si>
  <si>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</si>
  <si>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</si>
  <si>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</si>
  <si>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</si>
  <si>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</si>
  <si>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</si>
  <si>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</si>
  <si>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</si>
  <si>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</si>
  <si>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</si>
  <si>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</si>
  <si>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</si>
  <si>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</si>
  <si>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</si>
  <si>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</si>
  <si>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</si>
  <si>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</si>
  <si>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</si>
  <si>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</si>
  <si>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</si>
  <si>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</si>
  <si>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</si>
  <si>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</si>
  <si>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</si>
  <si>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</si>
  <si>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</si>
  <si>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</si>
  <si>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</si>
  <si>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</si>
  <si>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</si>
  <si>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</si>
  <si>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</si>
  <si>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</si>
  <si>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</si>
  <si>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</si>
  <si>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</si>
  <si>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</si>
  <si>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</si>
  <si>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</si>
  <si>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</si>
  <si>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</si>
  <si>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</si>
  <si>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</si>
  <si>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</si>
  <si>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</si>
  <si>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</si>
  <si>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</si>
  <si>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</si>
  <si>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</si>
  <si>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</si>
  <si>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</si>
  <si>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</si>
  <si>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</si>
  <si>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</si>
  <si>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</si>
  <si>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</si>
  <si>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</si>
  <si>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</si>
  <si>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</si>
  <si>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</si>
  <si>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</si>
  <si>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</si>
  <si>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</si>
  <si>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</si>
  <si>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</si>
  <si>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</si>
  <si>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</si>
  <si>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</si>
  <si>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</si>
  <si>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</si>
  <si>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</si>
  <si>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</si>
  <si>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</si>
  <si>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</si>
  <si>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</si>
  <si>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</si>
  <si>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</si>
  <si>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</si>
  <si>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</si>
  <si>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</si>
  <si>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</si>
  <si>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</si>
  <si>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</si>
  <si>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</si>
  <si>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</si>
  <si>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</si>
  <si>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</si>
  <si>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</si>
  <si>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</si>
  <si>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</si>
  <si>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</si>
  <si>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</si>
  <si>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</si>
  <si>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</si>
  <si>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</si>
  <si>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</si>
  <si>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</si>
  <si>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</si>
  <si>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</si>
  <si>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</si>
  <si>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</si>
  <si>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</si>
  <si>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</si>
  <si>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</si>
  <si>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</si>
  <si>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</si>
  <si>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</si>
  <si>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</si>
  <si>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</si>
  <si>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</si>
  <si>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</si>
  <si>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</si>
  <si>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</si>
  <si>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</si>
  <si>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</si>
  <si>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</si>
  <si>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</si>
  <si>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</si>
  <si>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</si>
  <si>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</si>
  <si>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</si>
  <si>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</si>
  <si>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</si>
  <si>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</si>
  <si>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</si>
  <si>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</si>
  <si>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</si>
  <si>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</si>
  <si>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</si>
  <si>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</si>
  <si>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</si>
  <si>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</si>
  <si>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</si>
  <si>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</si>
  <si>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</si>
  <si>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</si>
  <si>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</si>
  <si>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</si>
  <si>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</si>
  <si>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</si>
  <si>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</si>
  <si>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</si>
  <si>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</si>
  <si>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</si>
  <si>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</si>
  <si>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</si>
  <si>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</si>
  <si>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</si>
  <si>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</si>
  <si>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</si>
  <si>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</si>
  <si>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</si>
  <si>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</si>
  <si>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</si>
  <si>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</si>
  <si>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</si>
  <si>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</si>
  <si>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</si>
  <si>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</si>
  <si>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</si>
  <si>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</si>
  <si>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</si>
  <si>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</si>
  <si>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</si>
  <si>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</si>
  <si>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</si>
  <si>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</si>
  <si>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</si>
  <si>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</si>
  <si>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</si>
  <si>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</si>
  <si>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</si>
  <si>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</si>
  <si>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</si>
  <si>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</si>
  <si>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</si>
  <si>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</si>
  <si>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</si>
  <si>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</si>
  <si>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</si>
  <si>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</si>
  <si>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</si>
  <si>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</si>
  <si>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</si>
  <si>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</si>
  <si>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</si>
  <si>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</si>
  <si>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</si>
  <si>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</si>
  <si>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</si>
  <si>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</si>
  <si>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</si>
  <si>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</si>
  <si>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</si>
  <si>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</si>
  <si>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</si>
  <si>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</si>
  <si>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</si>
  <si>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</si>
  <si>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</si>
  <si>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</si>
  <si>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</si>
  <si>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</si>
  <si>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</si>
  <si>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</si>
  <si>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</si>
  <si>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</si>
  <si>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</si>
  <si>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</si>
  <si>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</si>
  <si>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</si>
  <si>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</si>
  <si>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</si>
  <si>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</si>
  <si>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</si>
  <si>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</si>
  <si>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</si>
  <si>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</si>
  <si>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</si>
  <si>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</si>
  <si>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</si>
  <si>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</si>
  <si>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</si>
  <si>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</si>
  <si>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</si>
  <si>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</si>
  <si>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</si>
  <si>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</si>
  <si>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</si>
  <si>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</si>
  <si>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</si>
  <si>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</si>
  <si>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</si>
  <si>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</si>
  <si>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</si>
  <si>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</si>
  <si>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</si>
  <si>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</si>
  <si>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</si>
  <si>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</si>
  <si>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</si>
  <si>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</si>
  <si>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</si>
  <si>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</si>
  <si>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</si>
  <si>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</si>
  <si>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Утвержденный план</t>
  </si>
  <si>
    <t>Предложение по корректировке утвержденного плана</t>
  </si>
  <si>
    <t>M_00.0005.000005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</si>
  <si>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</si>
  <si>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</si>
  <si>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</si>
  <si>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</si>
  <si>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</si>
  <si>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</si>
  <si>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</si>
  <si>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</si>
  <si>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</si>
  <si>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</si>
  <si>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</si>
  <si>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</si>
  <si>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</si>
  <si>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</si>
  <si>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</si>
  <si>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</si>
  <si>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</si>
  <si>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</si>
  <si>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</si>
  <si>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</si>
  <si>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</si>
  <si>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</si>
  <si>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</si>
  <si>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</si>
  <si>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</si>
  <si>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</si>
  <si>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</si>
  <si>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</si>
  <si>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</si>
  <si>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</si>
  <si>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</si>
  <si>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</si>
  <si>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</si>
  <si>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</si>
  <si>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</si>
  <si>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</si>
  <si>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</si>
  <si>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</si>
  <si>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</si>
  <si>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</si>
  <si>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</si>
  <si>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</si>
  <si>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</si>
  <si>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</si>
  <si>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</si>
  <si>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</si>
  <si>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</si>
  <si>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</si>
  <si>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</si>
  <si>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</si>
  <si>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</si>
  <si>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</si>
  <si>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</si>
  <si>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</si>
  <si>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</si>
  <si>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</si>
  <si>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</si>
  <si>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</si>
  <si>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</si>
  <si>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</si>
  <si>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</si>
  <si>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</si>
  <si>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</si>
  <si>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</si>
  <si>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исключением мероприятий 3 этапа реконструкции объекта, в части установки устройств телемеханики из данного инвестиционного проекта, с учетом актуализации технических решений и реализации данных мероприятий в составе инвестиционного проекта M_00.0014.000014 по комплексной реконструкции ПС 220 кВ Строительная</t>
  </si>
  <si>
    <t>СМР, ПНР</t>
  </si>
  <si>
    <t>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</si>
  <si>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</si>
  <si>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</si>
  <si>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</si>
  <si>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</si>
  <si>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</si>
  <si>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</si>
  <si>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https://www.roseltorg.ru/</t>
  </si>
  <si>
    <t>ИП</t>
  </si>
  <si>
    <t>СМР</t>
  </si>
  <si>
    <t>АО "РЭМиС"</t>
  </si>
  <si>
    <t>ИП-22-00071 от 06.04.2022</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</si>
  <si>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</si>
  <si>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</si>
  <si>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</si>
  <si>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АО РЭМиС</t>
  </si>
  <si>
    <t>нет</t>
  </si>
  <si>
    <t>2.2.1.12</t>
  </si>
  <si>
    <t>ЦЗК</t>
  </si>
  <si>
    <t>Протокол №14</t>
  </si>
  <si>
    <t>Договор расторгнут по соглашению Сторон</t>
  </si>
  <si>
    <t>ИП-20-00157 от 16.06.2020</t>
  </si>
  <si>
    <t>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(4 этап, оборудование ВЧ-связи и ПА)</t>
  </si>
  <si>
    <t>ОБЩЕСТВО С ОГРАНИЧЕННОЙ ОТВЕТСТВЕННОСТЬЮ "ЭКРА-СИБИРЬ";
ОБЩЕСТВО С ОГРАНИЧЕННОЙ ОТВЕТСТВЕННОСТЬЮ "ВЕЛЛЭНЕРДЖИ"</t>
  </si>
  <si>
    <t>27621,32641;
27621,32641</t>
  </si>
  <si>
    <t>27153,56;
27621,32641</t>
  </si>
  <si>
    <t>ОБЩЕСТВО С ОГРАНИЧЕННОЙ ОТВЕТСТВЕННОСТЬЮ "ЭКРА-СИБИРЬ"</t>
  </si>
  <si>
    <t>https://com.roseltorg.ru/</t>
  </si>
  <si>
    <t>ИП-24-00056 от 04.04.2024</t>
  </si>
  <si>
    <t>ПИР</t>
  </si>
  <si>
    <t>Выполнение проектно-изыскательских работ по реконструкции ПС 220 кВ Строительная в части замены ОД, КЗ 220 кВ, установки ячеек выключателей 220 кВ (2 шт.) с выполнением сопутствующего объема работ</t>
  </si>
  <si>
    <t>Запрос предложений в электронной форме</t>
  </si>
  <si>
    <t>ОБЩЕСТВО С ОГРАНИЧЕННОЙ ОТВЕТСТВЕННОСТЬЮ "УРАЛЖИЛСТРОЙ"; ОБЩЕСТВО С ОГРАНИЧЕННОЙ ОТВЕТСТВЕННОСТЬЮ "ИНСТИТУТ ПРОЕКТИРОВАНИЯ ЭНЕРГЕТИЧЕСКИХ СИСТЕМ"; ОБЩЕСТВО С ОГРАНИЧЕННОЙ ОТВЕТСТВЕННОСТЬЮ "КОМПЛЕКСЭНЕРГОПРОЕКТ"; АКЦИОНЕРНОЕ ОБЩЕСТВО "ПРОЕКТНО-ИНЖЕНЕРНЫЙ ЦЕНТР УРАЛТЭП"; ОБЩЕСТВО С ОГРАНИЧЕННОЙ ОТВЕТСТВЕННОСТЬЮ "СОЮЗЭНЕРГОПРОЕКТ"; АКЦИОНЕРНОЕ ОБЩЕСТВО "РЕМОНТЭНЕРГОМОНТАЖ И СЕРВИС"; ОБЩЕСТВО С ОГРАНИЧЕННОЙ ОТВЕТСТВЕННОСТЬЮ "ТЕХНО БАЗИС"; ОБЩЕСТВО С ОГРАНИЧЕННОЙ ОТВЕТСТВЕННОСТЬЮ "ТЕХНОЛОГИИ ЭФФЕКТИВНОГО ПРОЕКТИРОВАНИЯ"; ОБЩЕСТВО С ОГРАНИЧЕННОЙ ОТВЕТСТВЕННОСТЬЮ "АРСИСПРО"; ОТКРЫТОЕ АКЦИОНЕРНОЕ ОБЩЕСТВО "ИНЖЕНЕРНО-ДИАГНОСТИЧЕСКИЙ ЦЕНТР"; Общество с ограниченной ответственностью "Проектный Центр Сибири"; АКЦИОНЕРНОЕ ОБЩЕСТВО "ЧЕБОКСАРСКИЙ ЭЛЕКТРОАППАРАТНЫЙ ЗАВОД";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"ВЕЛЛЭНЕРДЖИ"; Общество с ограниченной ответственностью "Инженерный Проектный Центр"</t>
  </si>
  <si>
    <t>3700,00; 4220,00; 3600,00; 4474,65; 4300,00; 4685,50; 3514,40; 4632,15; 3900; 4400; 4665,50; 3750,00; 4685,00; 3654,68; 4680,50; 4685,50</t>
  </si>
  <si>
    <t>ОБЩЕСТВО С ОГРАНИЧЕННОЙ ОТВЕТСТВЕННОСТЬЮ "УРАЛЖИЛСТРОЙ"; ОБЩЕСТВО С ОГРАНИЧЕННОЙ ОТВЕТСТВЕННОСТЬЮ "КОМПЛЕКСЭНЕРГОПРОЕКТ"; АКЦИОНЕРНОЕ ОБЩЕСТВО "ПРОЕКТНО-ИНЖЕНЕРНЫЙ ЦЕНТР УРАЛТЭП"; АКЦИОНЕРНОЕ ОБЩЕСТВО "РЕМОНТЭНЕРГОМОНТАЖ И СЕРВИС"; ОБЩЕСТВО С ОГРАНИЧЕННОЙ ОТВЕТСТВЕННОСТЬЮ "ТЕХНО БАЗИС"; ОБЩЕСТВО С ОГРАНИЧЕННОЙ ОТВЕТСТВЕННОСТЬЮ "ТЕХНОЛОГИИ ЭФФЕКТИВНОГО ПРОЕКТИРОВАНИЯ"; ОБЩЕСТВО С ОГРАНИЧЕННОЙ ОТВЕТСТВЕННОСТЬЮ "АРСИСПРО"; ОТКРЫТОЕ АКЦИОНЕРНОЕ ОБЩЕСТВО "ИНЖЕНЕРНО-ДИАГНОСТИЧЕСКИЙ ЦЕНТР"; АКЦИОНЕРНОЕ ОБЩЕСТВО "ЧЕБОКСАРСКИЙ ЭЛЕКТРОАППАРАТНЫЙ ЗАВОД";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"ВЕЛЛЭНЕРДЖИ"; Общество с ограниченной ответственностью "Инженерный Проектный Центр"</t>
  </si>
  <si>
    <t xml:space="preserve"> -; 3980,00; -; -; 4100,00; -; -; -; -; -; 3450,00; -; -; -; -; -;</t>
  </si>
  <si>
    <t>ОБЩЕСТВО С ОГРАНИЧЕННОЙ ОТВЕТСТВЕННОСТЬЮ "ИНСТИТУТ ПРОЕКТИРОВАНИЯ ЭНЕРГЕТИЧЕСКИХ СИСТЕМ"</t>
  </si>
  <si>
    <t>ООО  "ИНСТИТУТ ПРОЕКТИРОВАНИЯ ЭНЕРГЕТИЧЕСКИХ СИСТЕМ"</t>
  </si>
  <si>
    <t>ИП-20-00067 от 20.03.2020</t>
  </si>
  <si>
    <t>1.2.1.1 Реконструкция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</si>
  <si>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</si>
  <si>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</si>
  <si>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792 от 02.11.2022; 
№ 792/1 от 11.09.2023</t>
  </si>
  <si>
    <t>см. комментарии ниже по этапам</t>
  </si>
  <si>
    <t>г. Новосибирск</t>
  </si>
  <si>
    <t>не требуется</t>
  </si>
  <si>
    <t>не относится</t>
  </si>
  <si>
    <t>+</t>
  </si>
  <si>
    <t>23,33 МВА</t>
  </si>
  <si>
    <t>1. Недопущение технологических нарушений на объекте электроснабжения выполняется замена находящихся неудовлетворительном состоянии ОД и КЗ . На данное время система отделитель — короткозамыкатель необходимо заменить при неправильной работе отделителя, без электроснабжения может оказаться большое количество потребителей  (Замена ОД и КЗ  на элегазовые (вакуумные) выключатели).  
2. Предотвращение аварийных отключений оборудования, по причине износа контактной части и отсутствия запасных частей для ремонта (заводы производители прекратили выпуск данного типа оборудования). В связи с чем ремонт ПС  невозможен.
3.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</si>
  <si>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отделителей и короткозамыкателей на ПС позволит:
- уменьшить время ликвидации КЗ;
- не создавать искусственные короткие замыкания;
- селективно отключать только поврежденный трансформатор при работе защит;
- повысить безопасность обслуживающего персонала;
- снизить долю коммутационного оборудования со сверхнормативным сроком эксплуатации.
</t>
  </si>
  <si>
    <t>ПС 220 кВ Строительная</t>
  </si>
  <si>
    <t>70796,61 тыс. руб. с НДС на 1 выключатель 220 кВ</t>
  </si>
  <si>
    <t>1 этап 1-го пуского - замена ОД КЗ 1Т;
1 этап 2-го пуского - замена разъединителей яч. 1Т-40;
2 этап 1-го пуского - замена ОД КЗ 2Т;
2 этап 2-го пуского - замена разъединителей яч. 2Т-40;
3 этап - реконструкция УТМ;
4 этап - реализация УРОВ ПС 220 кВ Строительная.</t>
  </si>
  <si>
    <t>1. Процент износа существующих коммутационных аппаратов достигает 100%.
2. Заключение акта технического освидетельствования № ПС-8/09-2020 от 30.09.2020.</t>
  </si>
  <si>
    <t>С</t>
  </si>
  <si>
    <t>Сибирский Федеральный округ, Новосибирская область, г. Новосибирск</t>
  </si>
  <si>
    <t>ОД/КЗ</t>
  </si>
  <si>
    <t>Элегазовый выключатель</t>
  </si>
  <si>
    <t>ОД/КЗ-220</t>
  </si>
  <si>
    <t>В-220</t>
  </si>
  <si>
    <t>1993</t>
  </si>
  <si>
    <t xml:space="preserve">Акт № ПС-8/09-2020 от 30.09.2020 технического освидетельствования ПС 220 кВ Строительная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</si>
  <si>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</si>
  <si>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2;4</t>
  </si>
  <si>
    <t>1;2;3;4</t>
  </si>
  <si>
    <t>80%</t>
  </si>
  <si>
    <t>0%</t>
  </si>
  <si>
    <t>100%</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</si>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</sst>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551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552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556</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557</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557</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557</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557</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557</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558</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557</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557</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557</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559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557</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1.575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560</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32.461419718117888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27.027523709907019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M_00.0005.000005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171.7966679721705</v>
      </c>
      <c r="D24" s="261">
        <f t="shared" ref="D24:G24" si="0">D25+D26+D27+D32+D33</f>
        <v>141.59322112990702</v>
      </c>
      <c r="E24" s="262">
        <f>J24+N24+R24+V24+Z24+AE24</f>
        <v>32.461419718117888</v>
      </c>
      <c r="F24" s="262">
        <f t="shared" ref="F24:F26" si="1">N24+R24+V24+Z24+AE24</f>
        <v>0</v>
      </c>
      <c r="G24" s="253">
        <f t="shared" si="0"/>
        <v>12.8698890513142</v>
      </c>
      <c r="H24" s="253">
        <f>H25+H26+H27+H32+H33</f>
        <v>12.11754162348916</v>
      </c>
      <c r="I24" s="253" t="s">
        <v>424</v>
      </c>
      <c r="J24" s="261">
        <f>J25+J26+J27+J32+J33</f>
        <v>32.461419718117888</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12.11754162348916</v>
      </c>
      <c r="AC24" s="264">
        <f>J24+N24+R24+V24+Z24</f>
        <v>32.461419718117888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143.86242359957777</v>
      </c>
      <c r="D27" s="261">
        <v>38.131395391645697</v>
      </c>
      <c r="E27" s="264">
        <f>J27+N27+R27+V27+Z27+AE27</f>
        <v>27.347550077870231</v>
      </c>
      <c r="F27" s="264">
        <f t="shared" ref="F27:F68" si="8">N27+R27+V27+Z27+AE27</f>
        <v>0</v>
      </c>
      <c r="G27" s="253">
        <v>12.8698890513142</v>
      </c>
      <c r="H27" s="253">
        <f>SUM(H28:H31)</f>
        <v>0</v>
      </c>
      <c r="I27" s="253" t="s">
        <v>424</v>
      </c>
      <c r="J27" s="261">
        <f>SUM(J28:J31)</f>
        <v>27.347550077870231</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27.347550077870231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16.874044712814353</v>
      </c>
      <c r="F29" s="264">
        <f t="shared" si="8"/>
        <v>0</v>
      </c>
      <c r="G29" s="254" t="s">
        <v>424</v>
      </c>
      <c r="H29" s="254">
        <v>0</v>
      </c>
      <c r="I29" s="255">
        <v>0</v>
      </c>
      <c r="J29" s="263">
        <v>16.874044712814353</v>
      </c>
      <c r="K29" s="265" t="s">
        <v>576</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16.874044712814353</v>
      </c>
      <c r="AD29" s="204"/>
      <c r="AE29" s="274">
        <v>0</v>
      </c>
      <c r="AF29" s="276">
        <v>0</v>
      </c>
      <c r="AG29" s="278">
        <v>0</v>
      </c>
      <c r="AH29" s="278">
        <v>0</v>
      </c>
    </row>
    <row r="30" spans="1:34" x14ac:dyDescent="0.25">
      <c r="A30" s="58" t="s">
        <v>427</v>
      </c>
      <c r="B30" s="42" t="s">
        <v>164</v>
      </c>
      <c r="C30" s="255" t="s">
        <v>424</v>
      </c>
      <c r="D30" s="265" t="s">
        <v>424</v>
      </c>
      <c r="E30" s="264">
        <f t="shared" si="9"/>
        <v>3.491518550732474</v>
      </c>
      <c r="F30" s="264">
        <f t="shared" si="8"/>
        <v>0</v>
      </c>
      <c r="G30" s="254" t="s">
        <v>424</v>
      </c>
      <c r="H30" s="254">
        <v>0</v>
      </c>
      <c r="I30" s="255">
        <v>0</v>
      </c>
      <c r="J30" s="263">
        <v>3.491518550732474</v>
      </c>
      <c r="K30" s="265" t="s">
        <v>576</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3.491518550732474</v>
      </c>
      <c r="AD30" s="204"/>
      <c r="AE30" s="274">
        <v>0</v>
      </c>
      <c r="AF30" s="274">
        <v>0</v>
      </c>
      <c r="AG30" s="278">
        <v>0</v>
      </c>
      <c r="AH30" s="278">
        <v>0</v>
      </c>
    </row>
    <row r="31" spans="1:34" x14ac:dyDescent="0.25">
      <c r="A31" s="58" t="s">
        <v>428</v>
      </c>
      <c r="B31" s="42" t="s">
        <v>162</v>
      </c>
      <c r="C31" s="255" t="s">
        <v>424</v>
      </c>
      <c r="D31" s="265" t="s">
        <v>424</v>
      </c>
      <c r="E31" s="264">
        <f t="shared" si="9"/>
        <v>6.9819868143234043</v>
      </c>
      <c r="F31" s="264">
        <f t="shared" si="8"/>
        <v>0</v>
      </c>
      <c r="G31" s="254" t="s">
        <v>424</v>
      </c>
      <c r="H31" s="254">
        <v>0</v>
      </c>
      <c r="I31" s="255">
        <v>0</v>
      </c>
      <c r="J31" s="263">
        <v>6.9819868143234043</v>
      </c>
      <c r="K31" s="265" t="s">
        <v>577</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6.9819868143234043</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27.934244372592715</v>
      </c>
      <c r="D33" s="263">
        <v>103.46182573826133</v>
      </c>
      <c r="E33" s="264">
        <f t="shared" si="9"/>
        <v>5.113869640247656</v>
      </c>
      <c r="F33" s="264">
        <f t="shared" si="8"/>
        <v>0</v>
      </c>
      <c r="G33" s="254">
        <v>0</v>
      </c>
      <c r="H33" s="254">
        <v>12.11754162348916</v>
      </c>
      <c r="I33" s="254">
        <f>I31</f>
        <v>0</v>
      </c>
      <c r="J33" s="263">
        <v>5.113869640247656</v>
      </c>
      <c r="K33" s="263" t="str">
        <f>K31</f>
        <v>1;2;3;4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12.11754162348916</v>
      </c>
      <c r="AC33" s="264">
        <f t="shared" si="7"/>
        <v>5.113869640247656</v>
      </c>
      <c r="AE33" s="274">
        <v>0</v>
      </c>
      <c r="AF33" s="274">
        <f>AF31</f>
        <v>0</v>
      </c>
      <c r="AG33" s="278">
        <v>0</v>
      </c>
      <c r="AH33" s="278">
        <v>0</v>
      </c>
    </row>
    <row r="34" spans="1:34" ht="47.25" x14ac:dyDescent="0.25">
      <c r="A34" s="60" t="s">
        <v>61</v>
      </c>
      <c r="B34" s="59" t="s">
        <v>170</v>
      </c>
      <c r="C34" s="253">
        <f>SUM(C35:C38)</f>
        <v>108.12230925990701</v>
      </c>
      <c r="D34" s="261">
        <f t="shared" ref="D34:G34" si="10">SUM(D35:D38)</f>
        <v>118.87371852990702</v>
      </c>
      <c r="E34" s="262">
        <f t="shared" si="9"/>
        <v>27.027523709907019</v>
      </c>
      <c r="F34" s="262">
        <f t="shared" si="8"/>
        <v>0</v>
      </c>
      <c r="G34" s="253">
        <f t="shared" si="10"/>
        <v>10.75140927</v>
      </c>
      <c r="H34" s="253">
        <f>SUM(H35:H38)</f>
        <v>0</v>
      </c>
      <c r="I34" s="253" t="s">
        <v>424</v>
      </c>
      <c r="J34" s="261">
        <f>SUM(J35:J38)</f>
        <v>27.027523709907019</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27.027523709907019</v>
      </c>
      <c r="AD34" s="204"/>
      <c r="AE34" s="273">
        <f>SUM(AE35:AE38)</f>
        <v>0</v>
      </c>
      <c r="AF34" s="273" t="s">
        <v>424</v>
      </c>
      <c r="AG34" s="278">
        <v>0</v>
      </c>
      <c r="AH34" s="278">
        <v>0</v>
      </c>
    </row>
    <row r="35" spans="1:34" x14ac:dyDescent="0.25">
      <c r="A35" s="60" t="s">
        <v>169</v>
      </c>
      <c r="B35" s="42" t="s">
        <v>168</v>
      </c>
      <c r="C35" s="254">
        <v>3.98</v>
      </c>
      <c r="D35" s="263">
        <v>3.98</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41.32055503161245</v>
      </c>
      <c r="D36" s="263">
        <v>43.228356031612456</v>
      </c>
      <c r="E36" s="264">
        <f t="shared" si="9"/>
        <v>16.691179715832551</v>
      </c>
      <c r="F36" s="264">
        <f t="shared" si="8"/>
        <v>0</v>
      </c>
      <c r="G36" s="254">
        <v>1.9078009999999999</v>
      </c>
      <c r="H36" s="254">
        <v>0</v>
      </c>
      <c r="I36" s="254">
        <v>0</v>
      </c>
      <c r="J36" s="263">
        <v>16.691179715832551</v>
      </c>
      <c r="K36" s="265" t="s">
        <v>576</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16.691179715832551</v>
      </c>
      <c r="AE36" s="274">
        <v>0</v>
      </c>
      <c r="AF36" s="275">
        <v>0</v>
      </c>
      <c r="AG36" s="278">
        <v>0</v>
      </c>
      <c r="AH36" s="278">
        <v>0</v>
      </c>
    </row>
    <row r="37" spans="1:34" x14ac:dyDescent="0.25">
      <c r="A37" s="60" t="s">
        <v>165</v>
      </c>
      <c r="B37" s="42" t="s">
        <v>164</v>
      </c>
      <c r="C37" s="254">
        <v>52.289245566802741</v>
      </c>
      <c r="D37" s="263">
        <v>60.815560566802745</v>
      </c>
      <c r="E37" s="264">
        <f t="shared" si="9"/>
        <v>3.4536807625727093</v>
      </c>
      <c r="F37" s="264">
        <f t="shared" si="8"/>
        <v>0</v>
      </c>
      <c r="G37" s="254">
        <v>8.5263150000000003</v>
      </c>
      <c r="H37" s="254">
        <v>0</v>
      </c>
      <c r="I37" s="254">
        <v>0</v>
      </c>
      <c r="J37" s="263">
        <v>3.4536807625727093</v>
      </c>
      <c r="K37" s="265" t="s">
        <v>576</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3.4536807625727093</v>
      </c>
      <c r="AE37" s="274">
        <v>0</v>
      </c>
      <c r="AF37" s="275">
        <v>0</v>
      </c>
      <c r="AG37" s="278">
        <v>0</v>
      </c>
      <c r="AH37" s="278">
        <v>0</v>
      </c>
    </row>
    <row r="38" spans="1:34" x14ac:dyDescent="0.25">
      <c r="A38" s="60" t="s">
        <v>163</v>
      </c>
      <c r="B38" s="42" t="s">
        <v>162</v>
      </c>
      <c r="C38" s="254">
        <v>10.532508661491825</v>
      </c>
      <c r="D38" s="263">
        <v>10.849801931491825</v>
      </c>
      <c r="E38" s="264">
        <f t="shared" si="9"/>
        <v>6.88266323150176</v>
      </c>
      <c r="F38" s="264">
        <f t="shared" si="8"/>
        <v>0</v>
      </c>
      <c r="G38" s="254">
        <v>0.31729327000000002</v>
      </c>
      <c r="H38" s="254">
        <v>0</v>
      </c>
      <c r="I38" s="254">
        <v>0</v>
      </c>
      <c r="J38" s="263">
        <v>6.88266323150176</v>
      </c>
      <c r="K38" s="265" t="s">
        <v>577</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6.88266323150176</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23</v>
      </c>
      <c r="D46" s="263">
        <v>24</v>
      </c>
      <c r="E46" s="264">
        <f t="shared" si="9"/>
        <v>7</v>
      </c>
      <c r="F46" s="264">
        <f t="shared" si="8"/>
        <v>0</v>
      </c>
      <c r="G46" s="254">
        <v>6</v>
      </c>
      <c r="H46" s="254">
        <v>11</v>
      </c>
      <c r="I46" s="255" t="s">
        <v>59</v>
      </c>
      <c r="J46" s="263">
        <v>7</v>
      </c>
      <c r="K46" s="265" t="s">
        <v>59</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11</v>
      </c>
      <c r="AC46" s="264">
        <f t="shared" si="7"/>
        <v>7</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23</v>
      </c>
      <c r="D54" s="263">
        <v>24</v>
      </c>
      <c r="E54" s="264">
        <f t="shared" si="9"/>
        <v>7</v>
      </c>
      <c r="F54" s="264">
        <f t="shared" si="8"/>
        <v>0</v>
      </c>
      <c r="G54" s="254">
        <v>6</v>
      </c>
      <c r="H54" s="254">
        <v>11</v>
      </c>
      <c r="I54" s="255" t="s">
        <v>59</v>
      </c>
      <c r="J54" s="263">
        <v>7</v>
      </c>
      <c r="K54" s="265" t="s">
        <v>59</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11</v>
      </c>
      <c r="AC54" s="264">
        <f t="shared" si="7"/>
        <v>7</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143.95656639913469</v>
      </c>
      <c r="D56" s="263">
        <v>118.87371852990701</v>
      </c>
      <c r="E56" s="264">
        <f t="shared" si="9"/>
        <v>50.088725259907008</v>
      </c>
      <c r="F56" s="264">
        <f t="shared" si="8"/>
        <v>0</v>
      </c>
      <c r="G56" s="254">
        <v>3.1241462099999997</v>
      </c>
      <c r="H56" s="254">
        <v>76.90767099913468</v>
      </c>
      <c r="I56" s="255" t="s">
        <v>59</v>
      </c>
      <c r="J56" s="263">
        <v>50.088725259907008</v>
      </c>
      <c r="K56" s="265" t="s">
        <v>59</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76.90767099913468</v>
      </c>
      <c r="AC56" s="264">
        <f t="shared" si="7"/>
        <v>50.088725259907008</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23</v>
      </c>
      <c r="D61" s="263">
        <v>24</v>
      </c>
      <c r="E61" s="264">
        <f t="shared" si="9"/>
        <v>7</v>
      </c>
      <c r="F61" s="264">
        <f t="shared" si="8"/>
        <v>0</v>
      </c>
      <c r="G61" s="254">
        <v>6</v>
      </c>
      <c r="H61" s="254">
        <v>11</v>
      </c>
      <c r="I61" s="255" t="s">
        <v>59</v>
      </c>
      <c r="J61" s="263">
        <v>7</v>
      </c>
      <c r="K61" s="265" t="s">
        <v>59</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11</v>
      </c>
      <c r="AC61" s="264">
        <f t="shared" si="7"/>
        <v>7</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M_00.0005.000005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45960</v>
      </c>
      <c r="E26" s="173">
        <v>19</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164630.23492000002</v>
      </c>
      <c r="Q26" s="173" t="s">
        <v>424</v>
      </c>
      <c r="R26" s="175">
        <f>SUM(R27:R86)</f>
        <v>164630.23492000002</v>
      </c>
      <c r="S26" s="173" t="s">
        <v>424</v>
      </c>
      <c r="T26" s="173" t="s">
        <v>424</v>
      </c>
      <c r="U26" s="173" t="s">
        <v>424</v>
      </c>
      <c r="V26" s="173" t="s">
        <v>424</v>
      </c>
      <c r="W26" s="173" t="s">
        <v>424</v>
      </c>
      <c r="X26" s="173" t="s">
        <v>424</v>
      </c>
      <c r="Y26" s="173" t="s">
        <v>424</v>
      </c>
      <c r="Z26" s="173" t="s">
        <v>424</v>
      </c>
      <c r="AA26" s="173" t="s">
        <v>424</v>
      </c>
      <c r="AB26" s="175">
        <f>SUM(AB27:AB86)</f>
        <v>163456.97</v>
      </c>
      <c r="AC26" s="173" t="s">
        <v>424</v>
      </c>
      <c r="AD26" s="175">
        <f>SUM(AD27:AD86)</f>
        <v>196148.364</v>
      </c>
      <c r="AE26" s="175">
        <f>SUM(AE27:AE86)</f>
        <v>79033.355999999985</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89822.477399999989</v>
      </c>
      <c r="AY26" s="175">
        <f t="shared" si="46"/>
        <v>117115.008</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51339.14</v>
      </c>
      <c r="Q27" s="205" t="s">
        <v>514</v>
      </c>
      <c r="R27" s="206">
        <v>51339.14</v>
      </c>
      <c r="S27" s="205" t="s">
        <v>515</v>
      </c>
      <c r="T27" s="205" t="s">
        <v>515</v>
      </c>
      <c r="U27" s="205">
        <v>3</v>
      </c>
      <c r="V27" s="205">
        <v>1</v>
      </c>
      <c r="W27" s="205" t="s">
        <v>516</v>
      </c>
      <c r="X27" s="205">
        <v>51339.14</v>
      </c>
      <c r="Y27" s="205" t="s">
        <v>517</v>
      </c>
      <c r="Z27" s="205" t="s">
        <v>424</v>
      </c>
      <c r="AA27" s="205">
        <v>51339.14</v>
      </c>
      <c r="AB27" s="206">
        <v>51339.14</v>
      </c>
      <c r="AC27" s="205" t="s">
        <v>516</v>
      </c>
      <c r="AD27" s="206">
        <v>61606.967999999993</v>
      </c>
      <c r="AE27" s="247">
        <f>IF(IFERROR(AD27-AY27,"нд")&lt;0,0,IFERROR(AD27-AY27,"нд"))</f>
        <v>19122.675599999988</v>
      </c>
      <c r="AF27" s="205">
        <v>32211176502</v>
      </c>
      <c r="AG27" s="205" t="s">
        <v>518</v>
      </c>
      <c r="AH27" s="205" t="s">
        <v>519</v>
      </c>
      <c r="AI27" s="207">
        <v>44620</v>
      </c>
      <c r="AJ27" s="207">
        <v>44623</v>
      </c>
      <c r="AK27" s="207">
        <v>44636</v>
      </c>
      <c r="AL27" s="207">
        <v>44643</v>
      </c>
      <c r="AM27" s="205" t="s">
        <v>424</v>
      </c>
      <c r="AN27" s="205" t="s">
        <v>424</v>
      </c>
      <c r="AO27" s="205" t="s">
        <v>424</v>
      </c>
      <c r="AP27" s="205" t="s">
        <v>424</v>
      </c>
      <c r="AQ27" s="207">
        <v>44663</v>
      </c>
      <c r="AR27" s="207">
        <v>44657</v>
      </c>
      <c r="AS27" s="207">
        <v>44663</v>
      </c>
      <c r="AT27" s="207">
        <v>44657</v>
      </c>
      <c r="AU27" s="207">
        <v>45290</v>
      </c>
      <c r="AV27" s="205" t="s">
        <v>424</v>
      </c>
      <c r="AW27" s="205" t="s">
        <v>424</v>
      </c>
      <c r="AX27" s="208">
        <v>35666.895700000001</v>
      </c>
      <c r="AY27" s="208">
        <v>42484.292400000006</v>
      </c>
      <c r="AZ27" s="206" t="s">
        <v>520</v>
      </c>
      <c r="BA27" s="206" t="s">
        <v>521</v>
      </c>
      <c r="BB27" s="206" t="s">
        <v>522</v>
      </c>
      <c r="BC27" s="206" t="s">
        <v>523</v>
      </c>
      <c r="BD27" s="206" t="str">
        <f>CONCATENATE(BB27,", ",BA27,", ",N27,", ","договор № ",BC27)</f>
        <v>АО "РЭМиС", СМР,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договор № ИП-22-00071 от 06.04.2022</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524</v>
      </c>
      <c r="N28" s="205" t="s">
        <v>525</v>
      </c>
      <c r="O28" s="205" t="s">
        <v>513</v>
      </c>
      <c r="P28" s="206">
        <v>80984.27</v>
      </c>
      <c r="Q28" s="205" t="s">
        <v>514</v>
      </c>
      <c r="R28" s="206">
        <v>80984.27</v>
      </c>
      <c r="S28" s="205" t="s">
        <v>526</v>
      </c>
      <c r="T28" s="205" t="s">
        <v>526</v>
      </c>
      <c r="U28" s="205" t="s">
        <v>424</v>
      </c>
      <c r="V28" s="205" t="s">
        <v>424</v>
      </c>
      <c r="W28" s="205" t="s">
        <v>424</v>
      </c>
      <c r="X28" s="205" t="s">
        <v>424</v>
      </c>
      <c r="Y28" s="205" t="s">
        <v>424</v>
      </c>
      <c r="Z28" s="205" t="s">
        <v>424</v>
      </c>
      <c r="AA28" s="205" t="s">
        <v>424</v>
      </c>
      <c r="AB28" s="206">
        <v>80984.27</v>
      </c>
      <c r="AC28" s="205" t="s">
        <v>527</v>
      </c>
      <c r="AD28" s="206">
        <v>97181.123999999996</v>
      </c>
      <c r="AE28" s="247">
        <f t="shared" ref="AE28:AE86" si="49">IF(IFERROR(AD28-AY28,"нд")&lt;0,0,IFERROR(AD28-AY28,"нд"))</f>
        <v>49807.347599999994</v>
      </c>
      <c r="AF28" s="205" t="s">
        <v>517</v>
      </c>
      <c r="AG28" s="205" t="s">
        <v>528</v>
      </c>
      <c r="AH28" s="205" t="s">
        <v>424</v>
      </c>
      <c r="AI28" s="207" t="s">
        <v>424</v>
      </c>
      <c r="AJ28" s="207" t="s">
        <v>424</v>
      </c>
      <c r="AK28" s="207" t="s">
        <v>424</v>
      </c>
      <c r="AL28" s="207" t="s">
        <v>424</v>
      </c>
      <c r="AM28" s="205" t="s">
        <v>529</v>
      </c>
      <c r="AN28" s="205" t="s">
        <v>530</v>
      </c>
      <c r="AO28" s="205">
        <v>43997</v>
      </c>
      <c r="AP28" s="205" t="s">
        <v>531</v>
      </c>
      <c r="AQ28" s="207">
        <v>44039</v>
      </c>
      <c r="AR28" s="207">
        <v>43998</v>
      </c>
      <c r="AS28" s="207">
        <v>44039</v>
      </c>
      <c r="AT28" s="207">
        <v>44039</v>
      </c>
      <c r="AU28" s="207">
        <v>44555</v>
      </c>
      <c r="AV28" s="205" t="s">
        <v>532</v>
      </c>
      <c r="AW28" s="205" t="s">
        <v>424</v>
      </c>
      <c r="AX28" s="206">
        <v>39478.146999999997</v>
      </c>
      <c r="AY28" s="206">
        <v>47373.776400000002</v>
      </c>
      <c r="AZ28" s="206" t="s">
        <v>520</v>
      </c>
      <c r="BA28" s="206" t="s">
        <v>521</v>
      </c>
      <c r="BB28" s="206" t="s">
        <v>522</v>
      </c>
      <c r="BC28" s="206" t="s">
        <v>533</v>
      </c>
      <c r="BD28" s="206" t="str">
        <f t="shared" ref="BD28:BD86" si="50">CONCATENATE(BB28,", ",BA28,", ",N28,", ","договор № ",BC28)</f>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534</v>
      </c>
      <c r="O29" s="205" t="s">
        <v>513</v>
      </c>
      <c r="P29" s="206">
        <v>27621.326410000001</v>
      </c>
      <c r="Q29" s="205" t="s">
        <v>514</v>
      </c>
      <c r="R29" s="206">
        <v>27621.326410000001</v>
      </c>
      <c r="S29" s="205" t="s">
        <v>515</v>
      </c>
      <c r="T29" s="205" t="s">
        <v>515</v>
      </c>
      <c r="U29" s="205">
        <v>3</v>
      </c>
      <c r="V29" s="205">
        <v>2</v>
      </c>
      <c r="W29" s="205" t="s">
        <v>535</v>
      </c>
      <c r="X29" s="205" t="s">
        <v>536</v>
      </c>
      <c r="Y29" s="205" t="s">
        <v>517</v>
      </c>
      <c r="Z29" s="205">
        <v>1</v>
      </c>
      <c r="AA29" s="205" t="s">
        <v>537</v>
      </c>
      <c r="AB29" s="206">
        <v>27153.56</v>
      </c>
      <c r="AC29" s="205" t="s">
        <v>538</v>
      </c>
      <c r="AD29" s="206">
        <v>32584.272000000001</v>
      </c>
      <c r="AE29" s="247">
        <f t="shared" si="49"/>
        <v>10103.3328</v>
      </c>
      <c r="AF29" s="205">
        <v>32413227967</v>
      </c>
      <c r="AG29" s="205" t="s">
        <v>518</v>
      </c>
      <c r="AH29" s="205" t="s">
        <v>539</v>
      </c>
      <c r="AI29" s="207">
        <v>45322</v>
      </c>
      <c r="AJ29" s="207">
        <v>45321</v>
      </c>
      <c r="AK29" s="207">
        <v>45343</v>
      </c>
      <c r="AL29" s="207">
        <v>45369</v>
      </c>
      <c r="AM29" s="205" t="s">
        <v>424</v>
      </c>
      <c r="AN29" s="205" t="s">
        <v>424</v>
      </c>
      <c r="AO29" s="205" t="s">
        <v>424</v>
      </c>
      <c r="AP29" s="205" t="s">
        <v>424</v>
      </c>
      <c r="AQ29" s="207">
        <v>45412</v>
      </c>
      <c r="AR29" s="207">
        <v>45386</v>
      </c>
      <c r="AS29" s="207">
        <v>45412</v>
      </c>
      <c r="AT29" s="207">
        <v>45386</v>
      </c>
      <c r="AU29" s="207">
        <v>45688</v>
      </c>
      <c r="AV29" s="205" t="s">
        <v>424</v>
      </c>
      <c r="AW29" s="205" t="s">
        <v>424</v>
      </c>
      <c r="AX29" s="206">
        <v>10434.116</v>
      </c>
      <c r="AY29" s="206">
        <v>22480.939200000001</v>
      </c>
      <c r="AZ29" s="206" t="s">
        <v>520</v>
      </c>
      <c r="BA29" s="206" t="s">
        <v>511</v>
      </c>
      <c r="BB29" s="206" t="s">
        <v>538</v>
      </c>
      <c r="BC29" s="206" t="s">
        <v>540</v>
      </c>
      <c r="BD29" s="206" t="str">
        <f t="shared" si="50"/>
        <v>ОБЩЕСТВО С ОГРАНИЧЕННОЙ ОТВЕТСТВЕННОСТЬЮ "ЭКРА-СИБИРЬ", СМР, ПНР,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(4 этап, оборудование ВЧ-связи и ПА), договор № ИП-24-00056 от 04.04.2024</v>
      </c>
    </row>
    <row r="30" spans="1:56" s="209" customFormat="1" ht="409.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541</v>
      </c>
      <c r="N30" s="205" t="s">
        <v>542</v>
      </c>
      <c r="O30" s="205" t="s">
        <v>513</v>
      </c>
      <c r="P30" s="206">
        <v>4685.4985100000004</v>
      </c>
      <c r="Q30" s="205" t="s">
        <v>514</v>
      </c>
      <c r="R30" s="206">
        <v>4685.4985100000004</v>
      </c>
      <c r="S30" s="205" t="s">
        <v>543</v>
      </c>
      <c r="T30" s="205" t="s">
        <v>543</v>
      </c>
      <c r="U30" s="205">
        <v>4</v>
      </c>
      <c r="V30" s="205">
        <v>16</v>
      </c>
      <c r="W30" s="205" t="s">
        <v>544</v>
      </c>
      <c r="X30" s="205" t="s">
        <v>545</v>
      </c>
      <c r="Y30" s="205" t="s">
        <v>546</v>
      </c>
      <c r="Z30" s="205">
        <v>1</v>
      </c>
      <c r="AA30" s="205" t="s">
        <v>547</v>
      </c>
      <c r="AB30" s="206">
        <v>3980</v>
      </c>
      <c r="AC30" s="205" t="s">
        <v>548</v>
      </c>
      <c r="AD30" s="206">
        <v>4776</v>
      </c>
      <c r="AE30" s="247">
        <f t="shared" si="49"/>
        <v>0</v>
      </c>
      <c r="AF30" s="205">
        <v>32008821784</v>
      </c>
      <c r="AG30" s="205" t="s">
        <v>518</v>
      </c>
      <c r="AH30" s="205" t="s">
        <v>519</v>
      </c>
      <c r="AI30" s="207">
        <v>43861</v>
      </c>
      <c r="AJ30" s="207">
        <v>43860</v>
      </c>
      <c r="AK30" s="207">
        <v>43875</v>
      </c>
      <c r="AL30" s="207">
        <v>43889</v>
      </c>
      <c r="AM30" s="205" t="s">
        <v>424</v>
      </c>
      <c r="AN30" s="205" t="s">
        <v>424</v>
      </c>
      <c r="AO30" s="205" t="s">
        <v>424</v>
      </c>
      <c r="AP30" s="205" t="s">
        <v>424</v>
      </c>
      <c r="AQ30" s="207">
        <v>43909</v>
      </c>
      <c r="AR30" s="207">
        <v>43910</v>
      </c>
      <c r="AS30" s="207">
        <v>43909</v>
      </c>
      <c r="AT30" s="207">
        <v>43910</v>
      </c>
      <c r="AU30" s="207">
        <v>44405</v>
      </c>
      <c r="AV30" s="205" t="s">
        <v>424</v>
      </c>
      <c r="AW30" s="205" t="s">
        <v>424</v>
      </c>
      <c r="AX30" s="206">
        <v>4243.3186999999998</v>
      </c>
      <c r="AY30" s="206">
        <v>4776</v>
      </c>
      <c r="AZ30" s="206" t="s">
        <v>520</v>
      </c>
      <c r="BA30" s="206" t="s">
        <v>541</v>
      </c>
      <c r="BB30" s="206" t="s">
        <v>549</v>
      </c>
      <c r="BC30" s="206" t="s">
        <v>550</v>
      </c>
      <c r="BD30" s="206" t="str">
        <f t="shared" si="50"/>
        <v>ООО  "ИНСТИТУТ ПРОЕКТИРОВАНИЯ ЭНЕРГЕТИЧЕСКИХ СИСТЕМ", ПИР, Выполнение проектно-изыскательских работ по реконструкции ПС 220 кВ Строительная в части замены ОД, КЗ 220 кВ, установки ячеек выключателей 220 кВ (2 шт.) с выполнением сопутствующего объема работ, договор № ИП-20-00067 от 20.03.2020</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M_00.0005.000005</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563</v>
      </c>
    </row>
    <row r="22" spans="1:2" x14ac:dyDescent="0.25">
      <c r="A22" s="153" t="s">
        <v>305</v>
      </c>
      <c r="B22" s="153" t="s">
        <v>568</v>
      </c>
    </row>
    <row r="23" spans="1:2" x14ac:dyDescent="0.25">
      <c r="A23" s="153" t="s">
        <v>287</v>
      </c>
      <c r="B23" s="153" t="s">
        <v>553</v>
      </c>
    </row>
    <row r="24" spans="1:2" x14ac:dyDescent="0.25">
      <c r="A24" s="153" t="s">
        <v>306</v>
      </c>
      <c r="B24" s="153" t="s">
        <v>424</v>
      </c>
    </row>
    <row r="25" spans="1:2" x14ac:dyDescent="0.25">
      <c r="A25" s="154" t="s">
        <v>307</v>
      </c>
      <c r="B25" s="171">
        <v>45960</v>
      </c>
    </row>
    <row r="26" spans="1:2" x14ac:dyDescent="0.25">
      <c r="A26" s="154" t="s">
        <v>308</v>
      </c>
      <c r="B26" s="156" t="s">
        <v>567</v>
      </c>
    </row>
    <row r="27" spans="1:2" x14ac:dyDescent="0.25">
      <c r="A27" s="156" t="str">
        <f>CONCATENATE("Стоимость проекта в прогнозных ценах, млн. руб. с НДС")</f>
        <v>Стоимость проекта в прогнозных ценах, млн. руб. с НДС</v>
      </c>
      <c r="B27" s="167">
        <v>141.59322112990702</v>
      </c>
    </row>
    <row r="28" spans="1:2" ht="93.75" customHeight="1" x14ac:dyDescent="0.25">
      <c r="A28" s="155" t="s">
        <v>309</v>
      </c>
      <c r="B28" s="158" t="s">
        <v>554</v>
      </c>
    </row>
    <row r="29" spans="1:2" ht="28.5" x14ac:dyDescent="0.25">
      <c r="A29" s="156" t="s">
        <v>310</v>
      </c>
      <c r="B29" s="167">
        <f>'7. Паспорт отчет о закупке'!$AB$26*1.2/1000</f>
        <v>196.14836400000002</v>
      </c>
    </row>
    <row r="30" spans="1:2" ht="28.5" x14ac:dyDescent="0.25">
      <c r="A30" s="156" t="s">
        <v>311</v>
      </c>
      <c r="B30" s="167">
        <f>'7. Паспорт отчет о закупке'!$AD$26/1000</f>
        <v>196.14836400000002</v>
      </c>
    </row>
    <row r="31" spans="1:2" x14ac:dyDescent="0.25">
      <c r="A31" s="155" t="s">
        <v>312</v>
      </c>
      <c r="B31" s="157"/>
    </row>
    <row r="32" spans="1:2" ht="28.5" x14ac:dyDescent="0.25">
      <c r="A32" s="156" t="s">
        <v>313</v>
      </c>
      <c r="B32" s="167">
        <f>SUM(SUMIF(B33,"&gt;0",B33),SUMIF(B37,"&gt;0",B37),SUMIF(B41,"&gt;0",B41),SUMIF(B45,"&gt;0",B45),SUMIF(B49,"&gt;0",B49),SUMIF(B53,"&gt;0",B53))</f>
        <v>196.14836400000002</v>
      </c>
    </row>
    <row r="33" spans="1:2" ht="30" x14ac:dyDescent="0.25">
      <c r="A33" s="164" t="s">
        <v>432</v>
      </c>
      <c r="B33" s="157">
        <f>IFERROR(IF(VLOOKUP(1,'7. Паспорт отчет о закупке'!$A$27:$CD$86,52,0)="ИП",VLOOKUP(1,'7. Паспорт отчет о закупке'!$A$27:$CD$86,30,0)/1000,"нд"),"нд")</f>
        <v>61.606967999999995</v>
      </c>
    </row>
    <row r="34" spans="1:2" x14ac:dyDescent="0.25">
      <c r="A34" s="164" t="s">
        <v>314</v>
      </c>
      <c r="B34" s="157">
        <f>IF(B33="нд","нд",$B33/$B$27*100)</f>
        <v>43.509828725117899</v>
      </c>
    </row>
    <row r="35" spans="1:2" x14ac:dyDescent="0.25">
      <c r="A35" s="164" t="s">
        <v>315</v>
      </c>
      <c r="B35" s="157">
        <f>IF(VLOOKUP(1,'7. Паспорт отчет о закупке'!$A$27:$CD$86,52,0)="ИП",VLOOKUP(1,'7. Паспорт отчет о закупке'!$A$27:$CD$86,51,0)/1000,"нд")</f>
        <v>42.484292400000008</v>
      </c>
    </row>
    <row r="36" spans="1:2" x14ac:dyDescent="0.25">
      <c r="A36" s="164" t="s">
        <v>436</v>
      </c>
      <c r="B36" s="157">
        <f>IF(VLOOKUP(1,'7. Паспорт отчет о закупке'!$A$27:$CD$86,52,0)="ИП",VLOOKUP(1,'7. Паспорт отчет о закупке'!$A$27:$CD$86,50,0)/1000,"нд")</f>
        <v>35.666895699999998</v>
      </c>
    </row>
    <row r="37" spans="1:2" ht="30" x14ac:dyDescent="0.25">
      <c r="A37" s="164" t="s">
        <v>432</v>
      </c>
      <c r="B37" s="157">
        <f>IF(VLOOKUP(2,'7. Паспорт отчет о закупке'!$A$27:$CD$86,52,0)="ИП",VLOOKUP(2,'7. Паспорт отчет о закупке'!$A$27:$CD$86,30,0)/1000,"нд")</f>
        <v>97.181123999999997</v>
      </c>
    </row>
    <row r="38" spans="1:2" x14ac:dyDescent="0.25">
      <c r="A38" s="164" t="s">
        <v>314</v>
      </c>
      <c r="B38" s="157">
        <f>IF(B37="нд","нд",$B37/$B$27*100)</f>
        <v>68.634023030551432</v>
      </c>
    </row>
    <row r="39" spans="1:2" x14ac:dyDescent="0.25">
      <c r="A39" s="164" t="s">
        <v>315</v>
      </c>
      <c r="B39" s="157">
        <f>IF(VLOOKUP(2,'7. Паспорт отчет о закупке'!$A$27:$CD$86,52,0)="ИП",VLOOKUP(2,'7. Паспорт отчет о закупке'!$A$27:$CD$86,51,0)/1000,"нд")</f>
        <v>47.373776400000004</v>
      </c>
    </row>
    <row r="40" spans="1:2" x14ac:dyDescent="0.25">
      <c r="A40" s="164" t="s">
        <v>436</v>
      </c>
      <c r="B40" s="157">
        <f>IF(VLOOKUP(2,'7. Паспорт отчет о закупке'!$A$27:$CD$86,52,0)="ИП",VLOOKUP(2,'7. Паспорт отчет о закупке'!$A$27:$CD$86,50,0)/1000,"нд")</f>
        <v>39.478147</v>
      </c>
    </row>
    <row r="41" spans="1:2" ht="30" x14ac:dyDescent="0.25">
      <c r="A41" s="164" t="s">
        <v>432</v>
      </c>
      <c r="B41" s="157">
        <f>IF(VLOOKUP(3,'7. Паспорт отчет о закупке'!$A$27:$CD$86,52,0)="ИП",VLOOKUP(3,'7. Паспорт отчет о закупке'!$A$27:$CD$86,30,0)/1000,"нд")</f>
        <v>32.584271999999999</v>
      </c>
    </row>
    <row r="42" spans="1:2" x14ac:dyDescent="0.25">
      <c r="A42" s="164" t="s">
        <v>314</v>
      </c>
      <c r="B42" s="157">
        <f>IF(B41="нд","нд",$B41/$B$27*100)</f>
        <v>23.012593215959839</v>
      </c>
    </row>
    <row r="43" spans="1:2" x14ac:dyDescent="0.25">
      <c r="A43" s="164" t="s">
        <v>315</v>
      </c>
      <c r="B43" s="157">
        <f>IF(VLOOKUP(3,'7. Паспорт отчет о закупке'!$A$27:$CD$86,52,0)="ИП",VLOOKUP(3,'7. Паспорт отчет о закупке'!$A$27:$CD$86,51,0)/1000,"нд")</f>
        <v>22.480939200000002</v>
      </c>
    </row>
    <row r="44" spans="1:2" x14ac:dyDescent="0.25">
      <c r="A44" s="164" t="s">
        <v>436</v>
      </c>
      <c r="B44" s="157">
        <f>IF(VLOOKUP(3,'7. Паспорт отчет о закупке'!$A$27:$CD$86,52,0)="ИП",VLOOKUP(3,'7. Паспорт отчет о закупке'!$A$27:$CD$86,50,0)/1000,"нд")</f>
        <v>10.434116</v>
      </c>
    </row>
    <row r="45" spans="1:2" ht="30" x14ac:dyDescent="0.25">
      <c r="A45" s="164" t="s">
        <v>432</v>
      </c>
      <c r="B45" s="157">
        <f>IF(VLOOKUP(4,'7. Паспорт отчет о закупке'!$A$27:$CD$86,52,0)="ИП",VLOOKUP(4,'7. Паспорт отчет о закупке'!$A$27:$CD$86,30,0)/1000,"нд")</f>
        <v>4.7759999999999998</v>
      </c>
    </row>
    <row r="46" spans="1:2" x14ac:dyDescent="0.25">
      <c r="A46" s="164" t="s">
        <v>314</v>
      </c>
      <c r="B46" s="157">
        <f>IF(B45="нд","нд",$B45/$B$27*100)</f>
        <v>3.3730428348813257</v>
      </c>
    </row>
    <row r="47" spans="1:2" x14ac:dyDescent="0.25">
      <c r="A47" s="164" t="s">
        <v>315</v>
      </c>
      <c r="B47" s="157">
        <f>IF(VLOOKUP(4,'7. Паспорт отчет о закупке'!$A$27:$CD$86,52,0)="ИП",VLOOKUP(4,'7. Паспорт отчет о закупке'!$A$27:$CD$86,51,0)/1000,"нд")</f>
        <v>4.7759999999999998</v>
      </c>
    </row>
    <row r="48" spans="1:2" x14ac:dyDescent="0.25">
      <c r="A48" s="164" t="s">
        <v>436</v>
      </c>
      <c r="B48" s="157">
        <f>IF(VLOOKUP(4,'7. Паспорт отчет о закупке'!$A$27:$CD$86,52,0)="ИП",VLOOKUP(4,'7. Паспорт отчет о закупке'!$A$27:$CD$86,50,0)/1000,"нд")</f>
        <v>4.2433186999999997</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112.14385175566935</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3.3730428348813257</v>
      </c>
      <c r="C87" s="188"/>
      <c r="D87" s="189"/>
      <c r="E87" s="188"/>
      <c r="F87" s="188"/>
      <c r="G87" s="188"/>
    </row>
    <row r="88" spans="1:7" ht="30" x14ac:dyDescent="0.25">
      <c r="A88" s="154" t="s">
        <v>438</v>
      </c>
      <c r="B88" s="167">
        <v>17.674250193828069</v>
      </c>
      <c r="C88" s="188"/>
      <c r="D88" s="188"/>
      <c r="E88" s="188"/>
      <c r="F88" s="188"/>
      <c r="G88" s="188"/>
    </row>
    <row r="89" spans="1:7" x14ac:dyDescent="0.25">
      <c r="A89" s="154" t="s">
        <v>322</v>
      </c>
      <c r="B89" s="167">
        <f>'6.2. Паспорт фин осв ввод'!D24-'6.2. Паспорт фин осв ввод'!E24</f>
        <v>109.13180141178913</v>
      </c>
    </row>
    <row r="90" spans="1:7" x14ac:dyDescent="0.25">
      <c r="A90" s="154" t="s">
        <v>435</v>
      </c>
      <c r="B90" s="167">
        <f>IFERROR(SUM(B91*1.2/$B$27*100),0)</f>
        <v>77.839484760983751</v>
      </c>
    </row>
    <row r="91" spans="1:7" x14ac:dyDescent="0.25">
      <c r="A91" s="154" t="s">
        <v>440</v>
      </c>
      <c r="B91" s="167">
        <f>'6.2. Паспорт фин осв ввод'!D34-'6.2. Паспорт фин осв ввод'!E34</f>
        <v>91.846194820000008</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договор № ИП-22-00071 от 06.04.2022
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ОБЩЕСТВО С ОГРАНИЧЕННОЙ ОТВЕТСТВЕННОСТЬЮ "ЭКРА-СИБИРЬ", СМР, ПНР,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(4 этап, оборудование ВЧ-связи и ПА), договор № ИП-24-00056 от 04.04.2024
ООО  "ИНСТИТУТ ПРОЕКТИРОВАНИЯ ЭНЕРГЕТИЧЕСКИХ СИСТЕМ", ПИР, Выполнение проектно-изыскательских работ по реконструкции ПС 220 кВ Строительная в части замены ОД, КЗ 220 кВ, установки ячеек выключателей 220 кВ (2 шт.) с выполнением сопутствующего объема работ, договор № ИП-20-00067 от 20.03.2020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M_00.0005.000005</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M_00.0005.000005</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563</v>
      </c>
      <c r="C25" s="150" t="s">
        <v>563</v>
      </c>
      <c r="D25" s="150" t="s">
        <v>381</v>
      </c>
      <c r="E25" s="150" t="s">
        <v>569</v>
      </c>
      <c r="F25" s="150" t="s">
        <v>570</v>
      </c>
      <c r="G25" s="150" t="s">
        <v>571</v>
      </c>
      <c r="H25" s="150" t="s">
        <v>572</v>
      </c>
      <c r="I25" s="150">
        <v>1993</v>
      </c>
      <c r="J25" s="150">
        <v>2020</v>
      </c>
      <c r="K25" s="150" t="s">
        <v>573</v>
      </c>
      <c r="L25" s="150">
        <v>220</v>
      </c>
      <c r="M25" s="150">
        <v>220</v>
      </c>
      <c r="N25" s="150" t="s">
        <v>424</v>
      </c>
      <c r="O25" s="150" t="s">
        <v>424</v>
      </c>
      <c r="P25" s="235">
        <v>2019</v>
      </c>
      <c r="Q25" s="150" t="s">
        <v>574</v>
      </c>
      <c r="R25" s="150" t="s">
        <v>575</v>
      </c>
      <c r="S25" s="150" t="s">
        <v>424</v>
      </c>
      <c r="T25" s="150" t="s">
        <v>424</v>
      </c>
    </row>
    <row r="26" spans="1:20" s="151" customFormat="1" ht="112.5" customHeight="1" x14ac:dyDescent="0.25">
      <c r="A26" s="150">
        <v>2</v>
      </c>
      <c r="B26" s="150" t="s">
        <v>563</v>
      </c>
      <c r="C26" s="150" t="s">
        <v>563</v>
      </c>
      <c r="D26" s="150" t="s">
        <v>381</v>
      </c>
      <c r="E26" s="150" t="s">
        <v>569</v>
      </c>
      <c r="F26" s="150" t="s">
        <v>570</v>
      </c>
      <c r="G26" s="150" t="s">
        <v>571</v>
      </c>
      <c r="H26" s="150" t="s">
        <v>572</v>
      </c>
      <c r="I26" s="150">
        <v>1993</v>
      </c>
      <c r="J26" s="150">
        <v>2020</v>
      </c>
      <c r="K26" s="150" t="s">
        <v>573</v>
      </c>
      <c r="L26" s="150">
        <v>220</v>
      </c>
      <c r="M26" s="150">
        <v>220</v>
      </c>
      <c r="N26" s="150" t="s">
        <v>424</v>
      </c>
      <c r="O26" s="150" t="s">
        <v>424</v>
      </c>
      <c r="P26" s="150">
        <v>2019</v>
      </c>
      <c r="Q26" s="150" t="s">
        <v>574</v>
      </c>
      <c r="R26" s="150" t="s">
        <v>575</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M_00.0005.000005</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M_00.0005.000005</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563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566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43889</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M_00.0005.000005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M_00.0005.000005</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M_00.0005.000005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5" zoomScale="70" zoomScaleSheetLayoutView="70" workbookViewId="0">
      <selection activeCell="G52" sqref="G52:G53"/>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M_00.0005.000005</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43889</v>
      </c>
      <c r="D25" s="285">
        <v>45180</v>
      </c>
      <c r="E25" s="285">
        <v>43889</v>
      </c>
      <c r="F25" s="285">
        <v>45180</v>
      </c>
      <c r="G25" s="286">
        <v>1</v>
      </c>
      <c r="H25" s="286">
        <v>0</v>
      </c>
      <c r="I25" s="280" t="s">
        <v>555</v>
      </c>
      <c r="J25" s="280" t="s">
        <v>424</v>
      </c>
      <c r="L25" s="246"/>
      <c r="N25" s="238" t="str">
        <f>CONCATENATE($A$12,A25)</f>
        <v>M_00.0005.0000051</v>
      </c>
    </row>
    <row r="26" spans="1:14" x14ac:dyDescent="0.25">
      <c r="A26" s="281" t="s">
        <v>450</v>
      </c>
      <c r="B26" s="281" t="s">
        <v>451</v>
      </c>
      <c r="C26" s="285" t="s">
        <v>424</v>
      </c>
      <c r="D26" s="285" t="s">
        <v>424</v>
      </c>
      <c r="E26" s="285" t="s">
        <v>424</v>
      </c>
      <c r="F26" s="285" t="s">
        <v>424</v>
      </c>
      <c r="G26" s="286" t="s">
        <v>424</v>
      </c>
      <c r="H26" s="286" t="s">
        <v>424</v>
      </c>
      <c r="I26" s="280" t="s">
        <v>517</v>
      </c>
      <c r="J26" s="281" t="s">
        <v>424</v>
      </c>
      <c r="N26" s="238" t="str">
        <f t="shared" ref="N26:N54" si="0">CONCATENATE($A$12,A26)</f>
        <v>M_00.0005.0000051.1.</v>
      </c>
    </row>
    <row r="27" spans="1:14" x14ac:dyDescent="0.25">
      <c r="A27" s="281" t="s">
        <v>452</v>
      </c>
      <c r="B27" s="281" t="s">
        <v>453</v>
      </c>
      <c r="C27" s="285" t="s">
        <v>424</v>
      </c>
      <c r="D27" s="285" t="s">
        <v>424</v>
      </c>
      <c r="E27" s="285" t="s">
        <v>424</v>
      </c>
      <c r="F27" s="285" t="s">
        <v>424</v>
      </c>
      <c r="G27" s="286" t="s">
        <v>424</v>
      </c>
      <c r="H27" s="286" t="s">
        <v>424</v>
      </c>
      <c r="I27" s="280" t="s">
        <v>517</v>
      </c>
      <c r="J27" s="281" t="s">
        <v>424</v>
      </c>
      <c r="N27" s="238" t="str">
        <f t="shared" si="0"/>
        <v>M_00.0005.0000051.2.</v>
      </c>
    </row>
    <row r="28" spans="1:14" ht="31.5" x14ac:dyDescent="0.25">
      <c r="A28" s="281" t="s">
        <v>454</v>
      </c>
      <c r="B28" s="281" t="s">
        <v>455</v>
      </c>
      <c r="C28" s="285" t="s">
        <v>424</v>
      </c>
      <c r="D28" s="285" t="s">
        <v>424</v>
      </c>
      <c r="E28" s="285" t="s">
        <v>424</v>
      </c>
      <c r="F28" s="285" t="s">
        <v>424</v>
      </c>
      <c r="G28" s="286" t="s">
        <v>424</v>
      </c>
      <c r="H28" s="286" t="s">
        <v>424</v>
      </c>
      <c r="I28" s="280" t="s">
        <v>517</v>
      </c>
      <c r="J28" s="281" t="s">
        <v>424</v>
      </c>
      <c r="N28" s="238" t="str">
        <f t="shared" si="0"/>
        <v>M_00.0005.0000051.2.1.</v>
      </c>
    </row>
    <row r="29" spans="1:14" x14ac:dyDescent="0.25">
      <c r="A29" s="281" t="s">
        <v>456</v>
      </c>
      <c r="B29" s="281" t="s">
        <v>457</v>
      </c>
      <c r="C29" s="285" t="s">
        <v>424</v>
      </c>
      <c r="D29" s="285" t="s">
        <v>424</v>
      </c>
      <c r="E29" s="285" t="s">
        <v>424</v>
      </c>
      <c r="F29" s="285" t="s">
        <v>424</v>
      </c>
      <c r="G29" s="286" t="s">
        <v>424</v>
      </c>
      <c r="H29" s="286" t="s">
        <v>424</v>
      </c>
      <c r="I29" s="280" t="s">
        <v>517</v>
      </c>
      <c r="J29" s="281" t="s">
        <v>424</v>
      </c>
      <c r="N29" s="238" t="str">
        <f t="shared" si="0"/>
        <v>M_00.0005.0000051.3.</v>
      </c>
    </row>
    <row r="30" spans="1:14" x14ac:dyDescent="0.25">
      <c r="A30" s="281" t="s">
        <v>458</v>
      </c>
      <c r="B30" s="281" t="s">
        <v>459</v>
      </c>
      <c r="C30" s="285" t="s">
        <v>424</v>
      </c>
      <c r="D30" s="285" t="s">
        <v>424</v>
      </c>
      <c r="E30" s="285" t="s">
        <v>424</v>
      </c>
      <c r="F30" s="285" t="s">
        <v>424</v>
      </c>
      <c r="G30" s="286" t="s">
        <v>424</v>
      </c>
      <c r="H30" s="286" t="s">
        <v>424</v>
      </c>
      <c r="I30" s="280" t="s">
        <v>517</v>
      </c>
      <c r="J30" s="281" t="s">
        <v>424</v>
      </c>
      <c r="N30" s="238" t="str">
        <f t="shared" si="0"/>
        <v>M_00.0005.0000051.4.</v>
      </c>
    </row>
    <row r="31" spans="1:14" x14ac:dyDescent="0.25">
      <c r="A31" s="281" t="s">
        <v>460</v>
      </c>
      <c r="B31" s="281" t="s">
        <v>461</v>
      </c>
      <c r="C31" s="285">
        <v>43889</v>
      </c>
      <c r="D31" s="285">
        <v>43910</v>
      </c>
      <c r="E31" s="285">
        <v>43889</v>
      </c>
      <c r="F31" s="285">
        <v>43910</v>
      </c>
      <c r="G31" s="286">
        <v>1</v>
      </c>
      <c r="H31" s="286" t="s">
        <v>579</v>
      </c>
      <c r="I31" s="280" t="s">
        <v>517</v>
      </c>
      <c r="J31" s="281" t="s">
        <v>424</v>
      </c>
      <c r="N31" s="238" t="str">
        <f t="shared" si="0"/>
        <v>M_00.0005.0000051.5.</v>
      </c>
    </row>
    <row r="32" spans="1:14" x14ac:dyDescent="0.25">
      <c r="A32" s="281" t="s">
        <v>462</v>
      </c>
      <c r="B32" s="281" t="s">
        <v>463</v>
      </c>
      <c r="C32" s="285">
        <v>43970</v>
      </c>
      <c r="D32" s="285">
        <v>44405</v>
      </c>
      <c r="E32" s="285">
        <v>43970</v>
      </c>
      <c r="F32" s="285">
        <v>44405</v>
      </c>
      <c r="G32" s="286">
        <v>1</v>
      </c>
      <c r="H32" s="286" t="s">
        <v>579</v>
      </c>
      <c r="I32" s="280" t="s">
        <v>517</v>
      </c>
      <c r="J32" s="281" t="s">
        <v>424</v>
      </c>
      <c r="N32" s="238" t="str">
        <f t="shared" si="0"/>
        <v>M_00.0005.0000051.6.</v>
      </c>
    </row>
    <row r="33" spans="1:14" ht="31.5" x14ac:dyDescent="0.25">
      <c r="A33" s="281" t="s">
        <v>464</v>
      </c>
      <c r="B33" s="281" t="s">
        <v>465</v>
      </c>
      <c r="C33" s="285" t="s">
        <v>424</v>
      </c>
      <c r="D33" s="285" t="s">
        <v>424</v>
      </c>
      <c r="E33" s="285" t="s">
        <v>424</v>
      </c>
      <c r="F33" s="285" t="s">
        <v>424</v>
      </c>
      <c r="G33" s="286" t="s">
        <v>424</v>
      </c>
      <c r="H33" s="286" t="s">
        <v>424</v>
      </c>
      <c r="I33" s="280" t="s">
        <v>517</v>
      </c>
      <c r="J33" s="281" t="s">
        <v>424</v>
      </c>
      <c r="N33" s="238" t="str">
        <f t="shared" si="0"/>
        <v>M_00.0005.0000051.7.</v>
      </c>
    </row>
    <row r="34" spans="1:14" ht="31.5" x14ac:dyDescent="0.25">
      <c r="A34" s="281" t="s">
        <v>466</v>
      </c>
      <c r="B34" s="281" t="s">
        <v>467</v>
      </c>
      <c r="C34" s="285" t="s">
        <v>424</v>
      </c>
      <c r="D34" s="285" t="s">
        <v>424</v>
      </c>
      <c r="E34" s="285" t="s">
        <v>424</v>
      </c>
      <c r="F34" s="285" t="s">
        <v>424</v>
      </c>
      <c r="G34" s="286" t="s">
        <v>424</v>
      </c>
      <c r="H34" s="286" t="s">
        <v>424</v>
      </c>
      <c r="I34" s="280" t="s">
        <v>517</v>
      </c>
      <c r="J34" s="281" t="s">
        <v>424</v>
      </c>
      <c r="N34" s="238" t="str">
        <f t="shared" si="0"/>
        <v>M_00.0005.0000051.8.</v>
      </c>
    </row>
    <row r="35" spans="1:14" x14ac:dyDescent="0.25">
      <c r="A35" s="281" t="s">
        <v>468</v>
      </c>
      <c r="B35" s="281" t="s">
        <v>469</v>
      </c>
      <c r="C35" s="285">
        <v>44867</v>
      </c>
      <c r="D35" s="285">
        <v>45180</v>
      </c>
      <c r="E35" s="285">
        <v>44867</v>
      </c>
      <c r="F35" s="285">
        <v>45180</v>
      </c>
      <c r="G35" s="286">
        <v>1</v>
      </c>
      <c r="H35" s="286" t="s">
        <v>579</v>
      </c>
      <c r="I35" s="280" t="s">
        <v>517</v>
      </c>
      <c r="J35" s="281" t="s">
        <v>424</v>
      </c>
      <c r="N35" s="238" t="str">
        <f t="shared" si="0"/>
        <v>M_00.0005.0000051.9.</v>
      </c>
    </row>
    <row r="36" spans="1:14" x14ac:dyDescent="0.25">
      <c r="A36" s="281" t="s">
        <v>470</v>
      </c>
      <c r="B36" s="281" t="s">
        <v>471</v>
      </c>
      <c r="C36" s="285" t="s">
        <v>424</v>
      </c>
      <c r="D36" s="285" t="s">
        <v>424</v>
      </c>
      <c r="E36" s="285" t="s">
        <v>424</v>
      </c>
      <c r="F36" s="285" t="s">
        <v>424</v>
      </c>
      <c r="G36" s="286" t="s">
        <v>424</v>
      </c>
      <c r="H36" s="286" t="s">
        <v>424</v>
      </c>
      <c r="I36" s="280" t="s">
        <v>517</v>
      </c>
      <c r="J36" s="281" t="s">
        <v>424</v>
      </c>
      <c r="N36" s="238" t="str">
        <f t="shared" si="0"/>
        <v>M_00.0005.0000051.10.</v>
      </c>
    </row>
    <row r="37" spans="1:14" x14ac:dyDescent="0.25">
      <c r="A37" s="281" t="s">
        <v>472</v>
      </c>
      <c r="B37" s="281" t="s">
        <v>473</v>
      </c>
      <c r="C37" s="285">
        <v>44060</v>
      </c>
      <c r="D37" s="285">
        <v>44405</v>
      </c>
      <c r="E37" s="285">
        <v>44060</v>
      </c>
      <c r="F37" s="285">
        <v>44405</v>
      </c>
      <c r="G37" s="286">
        <v>1</v>
      </c>
      <c r="H37" s="286" t="s">
        <v>579</v>
      </c>
      <c r="I37" s="280" t="s">
        <v>517</v>
      </c>
      <c r="J37" s="281" t="s">
        <v>424</v>
      </c>
      <c r="N37" s="238" t="str">
        <f t="shared" si="0"/>
        <v>M_00.0005.0000051.11.</v>
      </c>
    </row>
    <row r="38" spans="1:14" x14ac:dyDescent="0.25">
      <c r="A38" s="280">
        <v>2</v>
      </c>
      <c r="B38" s="280" t="s">
        <v>509</v>
      </c>
      <c r="C38" s="285">
        <v>43937</v>
      </c>
      <c r="D38" s="285">
        <v>45385</v>
      </c>
      <c r="E38" s="285">
        <v>43937</v>
      </c>
      <c r="F38" s="285">
        <v>45385</v>
      </c>
      <c r="G38" s="286">
        <v>1</v>
      </c>
      <c r="H38" s="286">
        <v>0</v>
      </c>
      <c r="I38" s="280" t="s">
        <v>555</v>
      </c>
      <c r="J38" s="280" t="s">
        <v>424</v>
      </c>
      <c r="N38" s="238" t="str">
        <f t="shared" si="0"/>
        <v>M_00.0005.0000052</v>
      </c>
    </row>
    <row r="39" spans="1:14" ht="173.25" customHeight="1" x14ac:dyDescent="0.25">
      <c r="A39" s="282" t="s">
        <v>474</v>
      </c>
      <c r="B39" s="281" t="s">
        <v>475</v>
      </c>
      <c r="C39" s="285">
        <v>43937</v>
      </c>
      <c r="D39" s="285">
        <v>45385</v>
      </c>
      <c r="E39" s="285">
        <v>43937</v>
      </c>
      <c r="F39" s="285">
        <v>45385</v>
      </c>
      <c r="G39" s="286">
        <v>1</v>
      </c>
      <c r="H39" s="286" t="s">
        <v>579</v>
      </c>
      <c r="I39" s="280" t="s">
        <v>517</v>
      </c>
      <c r="J39" s="281" t="s">
        <v>424</v>
      </c>
      <c r="N39" s="238" t="str">
        <f t="shared" si="0"/>
        <v>M_00.0005.0000052.1.</v>
      </c>
    </row>
    <row r="40" spans="1:14" x14ac:dyDescent="0.25">
      <c r="A40" s="282" t="s">
        <v>476</v>
      </c>
      <c r="B40" s="281" t="s">
        <v>477</v>
      </c>
      <c r="C40" s="285">
        <v>43998</v>
      </c>
      <c r="D40" s="285">
        <v>43998</v>
      </c>
      <c r="E40" s="285">
        <v>43998</v>
      </c>
      <c r="F40" s="285">
        <v>43998</v>
      </c>
      <c r="G40" s="286">
        <v>1</v>
      </c>
      <c r="H40" s="286" t="s">
        <v>579</v>
      </c>
      <c r="I40" s="280" t="s">
        <v>517</v>
      </c>
      <c r="J40" s="281" t="s">
        <v>424</v>
      </c>
      <c r="N40" s="238" t="str">
        <f t="shared" si="0"/>
        <v>M_00.0005.0000052.2.</v>
      </c>
    </row>
    <row r="41" spans="1:14" x14ac:dyDescent="0.25">
      <c r="A41" s="280">
        <v>3</v>
      </c>
      <c r="B41" s="280" t="s">
        <v>478</v>
      </c>
      <c r="C41" s="285">
        <v>44180</v>
      </c>
      <c r="D41" s="285">
        <v>45991</v>
      </c>
      <c r="E41" s="285">
        <v>44180</v>
      </c>
      <c r="F41" s="285">
        <v>45459</v>
      </c>
      <c r="G41" s="286" t="s">
        <v>424</v>
      </c>
      <c r="H41" s="286">
        <v>0.3</v>
      </c>
      <c r="I41" s="280" t="s">
        <v>555</v>
      </c>
      <c r="J41" s="280" t="s">
        <v>424</v>
      </c>
      <c r="N41" s="238" t="str">
        <f t="shared" si="0"/>
        <v>M_00.0005.0000053</v>
      </c>
    </row>
    <row r="42" spans="1:14" x14ac:dyDescent="0.25">
      <c r="A42" s="281" t="s">
        <v>479</v>
      </c>
      <c r="B42" s="281" t="s">
        <v>480</v>
      </c>
      <c r="C42" s="285">
        <v>44287</v>
      </c>
      <c r="D42" s="285">
        <v>45900</v>
      </c>
      <c r="E42" s="285">
        <v>44287</v>
      </c>
      <c r="F42" s="285" t="s">
        <v>424</v>
      </c>
      <c r="G42" s="286" t="s">
        <v>424</v>
      </c>
      <c r="H42" s="286" t="s">
        <v>580</v>
      </c>
      <c r="I42" s="280" t="s">
        <v>517</v>
      </c>
      <c r="J42" s="281" t="s">
        <v>424</v>
      </c>
      <c r="N42" s="238" t="str">
        <f t="shared" si="0"/>
        <v>M_00.0005.0000053.1.</v>
      </c>
    </row>
    <row r="43" spans="1:14" x14ac:dyDescent="0.25">
      <c r="A43" s="281" t="s">
        <v>481</v>
      </c>
      <c r="B43" s="281" t="s">
        <v>482</v>
      </c>
      <c r="C43" s="285">
        <v>44180</v>
      </c>
      <c r="D43" s="285">
        <v>45459</v>
      </c>
      <c r="E43" s="285">
        <v>44180</v>
      </c>
      <c r="F43" s="285">
        <v>45459</v>
      </c>
      <c r="G43" s="286">
        <v>1</v>
      </c>
      <c r="H43" s="286" t="s">
        <v>579</v>
      </c>
      <c r="I43" s="280" t="s">
        <v>517</v>
      </c>
      <c r="J43" s="281" t="s">
        <v>424</v>
      </c>
      <c r="N43" s="238" t="str">
        <f t="shared" si="0"/>
        <v>M_00.0005.0000053.2.</v>
      </c>
    </row>
    <row r="44" spans="1:14" x14ac:dyDescent="0.25">
      <c r="A44" s="281" t="s">
        <v>483</v>
      </c>
      <c r="B44" s="281" t="s">
        <v>484</v>
      </c>
      <c r="C44" s="285">
        <v>44347</v>
      </c>
      <c r="D44" s="285">
        <v>45960</v>
      </c>
      <c r="E44" s="285">
        <v>44347</v>
      </c>
      <c r="F44" s="285" t="s">
        <v>424</v>
      </c>
      <c r="G44" s="285" t="s">
        <v>424</v>
      </c>
      <c r="H44" s="286" t="s">
        <v>579</v>
      </c>
      <c r="I44" s="280" t="s">
        <v>517</v>
      </c>
      <c r="J44" s="281" t="s">
        <v>424</v>
      </c>
      <c r="N44" s="238" t="str">
        <f t="shared" si="0"/>
        <v>M_00.0005.0000053.3.</v>
      </c>
    </row>
    <row r="45" spans="1:14" ht="31.5" x14ac:dyDescent="0.25">
      <c r="A45" s="281" t="s">
        <v>485</v>
      </c>
      <c r="B45" s="281" t="s">
        <v>486</v>
      </c>
      <c r="C45" s="285">
        <v>44739</v>
      </c>
      <c r="D45" s="285">
        <v>45174</v>
      </c>
      <c r="E45" s="285">
        <v>44739</v>
      </c>
      <c r="F45" s="285">
        <v>45174</v>
      </c>
      <c r="G45" s="286">
        <v>1</v>
      </c>
      <c r="H45" s="286" t="s">
        <v>579</v>
      </c>
      <c r="I45" s="280" t="s">
        <v>517</v>
      </c>
      <c r="J45" s="281" t="s">
        <v>424</v>
      </c>
      <c r="N45" s="238" t="str">
        <f t="shared" si="0"/>
        <v>M_00.0005.0000053.4.</v>
      </c>
    </row>
    <row r="46" spans="1:14" ht="63" x14ac:dyDescent="0.25">
      <c r="A46" s="281" t="s">
        <v>487</v>
      </c>
      <c r="B46" s="281" t="s">
        <v>488</v>
      </c>
      <c r="C46" s="285" t="s">
        <v>424</v>
      </c>
      <c r="D46" s="285" t="s">
        <v>424</v>
      </c>
      <c r="E46" s="285" t="s">
        <v>424</v>
      </c>
      <c r="F46" s="285" t="s">
        <v>424</v>
      </c>
      <c r="G46" s="286" t="s">
        <v>424</v>
      </c>
      <c r="H46" s="286" t="s">
        <v>424</v>
      </c>
      <c r="I46" s="280" t="s">
        <v>517</v>
      </c>
      <c r="J46" s="281" t="s">
        <v>424</v>
      </c>
      <c r="N46" s="238" t="str">
        <f t="shared" si="0"/>
        <v>M_00.0005.0000053.5.</v>
      </c>
    </row>
    <row r="47" spans="1:14" x14ac:dyDescent="0.25">
      <c r="A47" s="281" t="s">
        <v>489</v>
      </c>
      <c r="B47" s="281" t="s">
        <v>490</v>
      </c>
      <c r="C47" s="285" t="s">
        <v>424</v>
      </c>
      <c r="D47" s="285" t="s">
        <v>424</v>
      </c>
      <c r="E47" s="285">
        <v>44530</v>
      </c>
      <c r="F47" s="285" t="s">
        <v>424</v>
      </c>
      <c r="G47" s="286" t="s">
        <v>578</v>
      </c>
      <c r="H47" s="286" t="s">
        <v>581</v>
      </c>
      <c r="I47" s="280"/>
      <c r="J47" s="281" t="s">
        <v>424</v>
      </c>
      <c r="N47" s="238" t="str">
        <f t="shared" si="0"/>
        <v>M_00.0005.0000053.6.</v>
      </c>
    </row>
    <row r="48" spans="1:14" x14ac:dyDescent="0.25">
      <c r="A48" s="280">
        <v>4</v>
      </c>
      <c r="B48" s="280" t="s">
        <v>491</v>
      </c>
      <c r="C48" s="285">
        <v>44555</v>
      </c>
      <c r="D48" s="285">
        <v>45960</v>
      </c>
      <c r="E48" s="285">
        <v>44555</v>
      </c>
      <c r="F48" s="285">
        <v>45174</v>
      </c>
      <c r="G48" s="286" t="s">
        <v>424</v>
      </c>
      <c r="H48" s="286">
        <v>0</v>
      </c>
      <c r="I48" s="280" t="s">
        <v>555</v>
      </c>
      <c r="J48" s="280" t="s">
        <v>424</v>
      </c>
      <c r="N48" s="238" t="str">
        <f t="shared" si="0"/>
        <v>M_00.0005.0000054</v>
      </c>
    </row>
    <row r="49" spans="1:14" x14ac:dyDescent="0.25">
      <c r="A49" s="281" t="s">
        <v>492</v>
      </c>
      <c r="B49" s="281" t="s">
        <v>493</v>
      </c>
      <c r="C49" s="285">
        <v>44555</v>
      </c>
      <c r="D49" s="285">
        <v>45905</v>
      </c>
      <c r="E49" s="285">
        <v>44555</v>
      </c>
      <c r="F49" s="285" t="s">
        <v>424</v>
      </c>
      <c r="G49" s="286" t="s">
        <v>424</v>
      </c>
      <c r="H49" s="286" t="s">
        <v>579</v>
      </c>
      <c r="I49" s="280" t="s">
        <v>517</v>
      </c>
      <c r="J49" s="281" t="s">
        <v>424</v>
      </c>
      <c r="N49" s="238" t="str">
        <f t="shared" si="0"/>
        <v>M_00.0005.0000054.1.</v>
      </c>
    </row>
    <row r="50" spans="1:14" ht="47.25" x14ac:dyDescent="0.25">
      <c r="A50" s="281" t="s">
        <v>494</v>
      </c>
      <c r="B50" s="281" t="s">
        <v>495</v>
      </c>
      <c r="C50" s="285" t="s">
        <v>424</v>
      </c>
      <c r="D50" s="285" t="s">
        <v>424</v>
      </c>
      <c r="E50" s="285" t="s">
        <v>424</v>
      </c>
      <c r="F50" s="285" t="s">
        <v>424</v>
      </c>
      <c r="G50" s="286" t="s">
        <v>424</v>
      </c>
      <c r="H50" s="286" t="s">
        <v>424</v>
      </c>
      <c r="I50" s="280" t="s">
        <v>517</v>
      </c>
      <c r="J50" s="281" t="s">
        <v>424</v>
      </c>
      <c r="N50" s="238" t="str">
        <f t="shared" si="0"/>
        <v>M_00.0005.0000054.2.</v>
      </c>
    </row>
    <row r="51" spans="1:14" ht="31.5" x14ac:dyDescent="0.25">
      <c r="A51" s="281" t="s">
        <v>496</v>
      </c>
      <c r="B51" s="281" t="s">
        <v>497</v>
      </c>
      <c r="C51" s="285">
        <v>44739</v>
      </c>
      <c r="D51" s="285">
        <v>45174</v>
      </c>
      <c r="E51" s="285">
        <v>44739</v>
      </c>
      <c r="F51" s="285">
        <v>45174</v>
      </c>
      <c r="G51" s="286">
        <v>1</v>
      </c>
      <c r="H51" s="286" t="s">
        <v>579</v>
      </c>
      <c r="I51" s="280" t="s">
        <v>517</v>
      </c>
      <c r="J51" s="281" t="s">
        <v>424</v>
      </c>
      <c r="N51" s="238" t="str">
        <f t="shared" si="0"/>
        <v>M_00.0005.0000054.3.</v>
      </c>
    </row>
    <row r="52" spans="1:14" ht="31.5" x14ac:dyDescent="0.25">
      <c r="A52" s="283" t="s">
        <v>498</v>
      </c>
      <c r="B52" s="281" t="s">
        <v>499</v>
      </c>
      <c r="C52" s="285" t="s">
        <v>424</v>
      </c>
      <c r="D52" s="285" t="s">
        <v>424</v>
      </c>
      <c r="E52" s="285" t="s">
        <v>424</v>
      </c>
      <c r="F52" s="285" t="s">
        <v>424</v>
      </c>
      <c r="G52" s="286" t="s">
        <v>424</v>
      </c>
      <c r="H52" s="286" t="s">
        <v>424</v>
      </c>
      <c r="I52" s="280" t="s">
        <v>517</v>
      </c>
      <c r="J52" s="281" t="s">
        <v>424</v>
      </c>
      <c r="N52" s="238" t="str">
        <f t="shared" si="0"/>
        <v>M_00.0005.0000054.4.</v>
      </c>
    </row>
    <row r="53" spans="1:14" x14ac:dyDescent="0.25">
      <c r="A53" s="281" t="s">
        <v>500</v>
      </c>
      <c r="B53" s="284" t="s">
        <v>501</v>
      </c>
      <c r="C53" s="285">
        <v>44560</v>
      </c>
      <c r="D53" s="285">
        <v>45960</v>
      </c>
      <c r="E53" s="285">
        <v>44560</v>
      </c>
      <c r="F53" s="285" t="s">
        <v>424</v>
      </c>
      <c r="G53" s="286" t="s">
        <v>424</v>
      </c>
      <c r="H53" s="286" t="s">
        <v>579</v>
      </c>
      <c r="I53" s="280" t="s">
        <v>517</v>
      </c>
      <c r="J53" s="281" t="s">
        <v>424</v>
      </c>
      <c r="N53" s="238" t="str">
        <f t="shared" si="0"/>
        <v>M_00.0005.0000054.5.</v>
      </c>
    </row>
    <row r="54" spans="1:14" x14ac:dyDescent="0.25">
      <c r="A54" s="281" t="s">
        <v>502</v>
      </c>
      <c r="B54" s="281" t="s">
        <v>503</v>
      </c>
      <c r="C54" s="285" t="s">
        <v>424</v>
      </c>
      <c r="D54" s="285" t="s">
        <v>424</v>
      </c>
      <c r="E54" s="285" t="s">
        <v>424</v>
      </c>
      <c r="F54" s="285" t="s">
        <v>424</v>
      </c>
      <c r="G54" s="286" t="s">
        <v>424</v>
      </c>
      <c r="H54" s="286" t="s">
        <v>424</v>
      </c>
      <c r="I54" s="280" t="s">
        <v>517</v>
      </c>
      <c r="J54" s="281" t="s">
        <v>424</v>
      </c>
      <c r="N54" s="238" t="str">
        <f t="shared" si="0"/>
        <v>M_00.0005.0000054.6.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2025-11-11T08:10:20Z</dcterms:modified>
</cp:coreProperties>
</file>